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.augry\Desktop\Personnel réduit\Blog le manager ethique\ABC\"/>
    </mc:Choice>
  </mc:AlternateContent>
  <bookViews>
    <workbookView xWindow="0" yWindow="0" windowWidth="23040" windowHeight="9972" activeTab="1"/>
  </bookViews>
  <sheets>
    <sheet name="rempli" sheetId="2" r:id="rId1"/>
    <sheet name="vid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" i="4" l="1"/>
  <c r="O29" i="4"/>
  <c r="N29" i="4"/>
  <c r="AC28" i="4"/>
  <c r="AB28" i="4"/>
  <c r="X28" i="4"/>
  <c r="O28" i="4"/>
  <c r="N28" i="4"/>
  <c r="AC27" i="4"/>
  <c r="AB27" i="4"/>
  <c r="X27" i="4"/>
  <c r="N27" i="4"/>
  <c r="O27" i="4" s="1"/>
  <c r="AC26" i="4"/>
  <c r="AB26" i="4"/>
  <c r="X26" i="4"/>
  <c r="N26" i="4"/>
  <c r="O26" i="4" s="1"/>
  <c r="AC25" i="4"/>
  <c r="AB25" i="4"/>
  <c r="X25" i="4"/>
  <c r="N25" i="4"/>
  <c r="O25" i="4" s="1"/>
  <c r="AC24" i="4"/>
  <c r="AB24" i="4"/>
  <c r="Y24" i="4"/>
  <c r="X24" i="4"/>
  <c r="U24" i="4"/>
  <c r="N24" i="4"/>
  <c r="O24" i="4" s="1"/>
  <c r="L23" i="4"/>
  <c r="AB29" i="4" s="1"/>
  <c r="K23" i="4"/>
  <c r="AA28" i="4" s="1"/>
  <c r="J23" i="4"/>
  <c r="Z29" i="4" s="1"/>
  <c r="I23" i="4"/>
  <c r="Y29" i="4" s="1"/>
  <c r="G23" i="4"/>
  <c r="X29" i="4" s="1"/>
  <c r="F23" i="4"/>
  <c r="W28" i="4" s="1"/>
  <c r="E23" i="4"/>
  <c r="V29" i="4" s="1"/>
  <c r="D23" i="4"/>
  <c r="U29" i="4" s="1"/>
  <c r="I17" i="2"/>
  <c r="N29" i="2"/>
  <c r="N28" i="2"/>
  <c r="N25" i="2"/>
  <c r="N26" i="2"/>
  <c r="O26" i="2" s="1"/>
  <c r="N27" i="2"/>
  <c r="O27" i="2" s="1"/>
  <c r="O28" i="2"/>
  <c r="H24" i="2"/>
  <c r="H25" i="2"/>
  <c r="N24" i="2"/>
  <c r="O24" i="2" s="1"/>
  <c r="W24" i="2"/>
  <c r="H26" i="2"/>
  <c r="H27" i="2"/>
  <c r="H28" i="2"/>
  <c r="H29" i="2"/>
  <c r="AC25" i="2"/>
  <c r="AC26" i="2"/>
  <c r="AC27" i="2"/>
  <c r="AC28" i="2"/>
  <c r="AC29" i="2"/>
  <c r="AC24" i="2"/>
  <c r="O25" i="2"/>
  <c r="O29" i="2"/>
  <c r="G25" i="2"/>
  <c r="G26" i="2"/>
  <c r="G27" i="2"/>
  <c r="G28" i="2"/>
  <c r="G29" i="2"/>
  <c r="G24" i="2"/>
  <c r="U25" i="4" l="1"/>
  <c r="Y25" i="4"/>
  <c r="U26" i="4"/>
  <c r="Y26" i="4"/>
  <c r="U27" i="4"/>
  <c r="Y27" i="4"/>
  <c r="U28" i="4"/>
  <c r="Y28" i="4"/>
  <c r="W29" i="4"/>
  <c r="Q29" i="4" s="1"/>
  <c r="R29" i="4" s="1"/>
  <c r="A29" i="4" s="1"/>
  <c r="AA29" i="4"/>
  <c r="V24" i="4"/>
  <c r="Z24" i="4"/>
  <c r="V25" i="4"/>
  <c r="Z25" i="4"/>
  <c r="V26" i="4"/>
  <c r="Z26" i="4"/>
  <c r="V27" i="4"/>
  <c r="Z27" i="4"/>
  <c r="V28" i="4"/>
  <c r="Z28" i="4"/>
  <c r="W24" i="4"/>
  <c r="AA24" i="4"/>
  <c r="W25" i="4"/>
  <c r="AA25" i="4"/>
  <c r="W26" i="4"/>
  <c r="AA26" i="4"/>
  <c r="W27" i="4"/>
  <c r="AA27" i="4"/>
  <c r="X29" i="2"/>
  <c r="L23" i="2"/>
  <c r="K23" i="2"/>
  <c r="J23" i="2"/>
  <c r="I23" i="2"/>
  <c r="G23" i="2"/>
  <c r="X24" i="2" s="1"/>
  <c r="F23" i="2"/>
  <c r="E23" i="2"/>
  <c r="D23" i="2"/>
  <c r="Q24" i="4" l="1"/>
  <c r="R24" i="4" s="1"/>
  <c r="A24" i="4" s="1"/>
  <c r="Q26" i="4"/>
  <c r="R26" i="4" s="1"/>
  <c r="A26" i="4" s="1"/>
  <c r="Q27" i="4"/>
  <c r="R27" i="4" s="1"/>
  <c r="A27" i="4" s="1"/>
  <c r="Q25" i="4"/>
  <c r="R25" i="4" s="1"/>
  <c r="A25" i="4" s="1"/>
  <c r="Q28" i="4"/>
  <c r="R28" i="4" s="1"/>
  <c r="A28" i="4" s="1"/>
  <c r="AA24" i="2"/>
  <c r="AA28" i="2"/>
  <c r="AA25" i="2"/>
  <c r="AA29" i="2"/>
  <c r="AA26" i="2"/>
  <c r="AA27" i="2"/>
  <c r="Z24" i="2"/>
  <c r="Z26" i="2"/>
  <c r="Z28" i="2"/>
  <c r="Z25" i="2"/>
  <c r="Z27" i="2"/>
  <c r="Z29" i="2"/>
  <c r="Y24" i="2"/>
  <c r="Y28" i="2"/>
  <c r="Y27" i="2"/>
  <c r="Y26" i="2"/>
  <c r="Y25" i="2"/>
  <c r="Y29" i="2"/>
  <c r="X25" i="2"/>
  <c r="X26" i="2"/>
  <c r="X28" i="2"/>
  <c r="X27" i="2"/>
  <c r="U25" i="2"/>
  <c r="U27" i="2"/>
  <c r="U29" i="2"/>
  <c r="U24" i="2"/>
  <c r="U26" i="2"/>
  <c r="U28" i="2"/>
  <c r="W26" i="2"/>
  <c r="W28" i="2"/>
  <c r="W27" i="2"/>
  <c r="W29" i="2"/>
  <c r="W25" i="2"/>
  <c r="V26" i="2"/>
  <c r="V25" i="2"/>
  <c r="V27" i="2"/>
  <c r="V29" i="2"/>
  <c r="V28" i="2"/>
  <c r="V24" i="2"/>
  <c r="AB24" i="2"/>
  <c r="AB28" i="2"/>
  <c r="AB25" i="2"/>
  <c r="AB27" i="2"/>
  <c r="AB26" i="2"/>
  <c r="AB29" i="2"/>
  <c r="I11" i="4" l="1"/>
  <c r="I12" i="4" s="1"/>
  <c r="AD29" i="4"/>
  <c r="AD28" i="4"/>
  <c r="G11" i="4"/>
  <c r="G12" i="4" s="1"/>
  <c r="Q29" i="2"/>
  <c r="R29" i="2" s="1"/>
  <c r="A29" i="2" s="1"/>
  <c r="Q24" i="2"/>
  <c r="Q27" i="2"/>
  <c r="Q26" i="2"/>
  <c r="Q28" i="2"/>
  <c r="Q25" i="2"/>
  <c r="G16" i="4" l="1"/>
  <c r="G18" i="4" s="1"/>
  <c r="H18" i="4" s="1"/>
  <c r="G14" i="4"/>
  <c r="G13" i="4"/>
  <c r="I16" i="4"/>
  <c r="I13" i="4"/>
  <c r="I14" i="4"/>
  <c r="R25" i="2"/>
  <c r="A25" i="2" s="1"/>
  <c r="R28" i="2"/>
  <c r="A28" i="2" s="1"/>
  <c r="R27" i="2"/>
  <c r="A27" i="2" s="1"/>
  <c r="R26" i="2"/>
  <c r="A26" i="2" s="1"/>
  <c r="R24" i="2"/>
  <c r="A24" i="2" s="1"/>
  <c r="I18" i="4" l="1"/>
  <c r="I17" i="4"/>
  <c r="J14" i="4"/>
  <c r="H14" i="4"/>
  <c r="AD28" i="2"/>
  <c r="AD29" i="2"/>
  <c r="G11" i="2"/>
  <c r="I11" i="2"/>
  <c r="I19" i="4" l="1"/>
  <c r="J18" i="4"/>
  <c r="I12" i="2"/>
  <c r="I14" i="2" s="1"/>
  <c r="G12" i="2"/>
  <c r="G14" i="2" s="1"/>
  <c r="G16" i="2" l="1"/>
  <c r="G18" i="2" s="1"/>
  <c r="H18" i="2" s="1"/>
  <c r="G13" i="2"/>
  <c r="H14" i="2" s="1"/>
  <c r="I16" i="2"/>
  <c r="I13" i="2"/>
  <c r="J14" i="2" s="1"/>
  <c r="I18" i="2" l="1"/>
  <c r="J18" i="2" s="1"/>
  <c r="I19" i="2" l="1"/>
</calcChain>
</file>

<file path=xl/sharedStrings.xml><?xml version="1.0" encoding="utf-8"?>
<sst xmlns="http://schemas.openxmlformats.org/spreadsheetml/2006/main" count="80" uniqueCount="31">
  <si>
    <t>camion</t>
  </si>
  <si>
    <t>1/2 camion</t>
  </si>
  <si>
    <t>détail</t>
  </si>
  <si>
    <t>facture</t>
  </si>
  <si>
    <t>Déplacement commercial</t>
  </si>
  <si>
    <t>Déplacement DR commercial</t>
  </si>
  <si>
    <t>Déplacement DR technique</t>
  </si>
  <si>
    <t>Déplacement PDG</t>
  </si>
  <si>
    <t>livraison</t>
  </si>
  <si>
    <t>préparation commande</t>
  </si>
  <si>
    <t>Client A</t>
  </si>
  <si>
    <t>CA</t>
  </si>
  <si>
    <t>Client B</t>
  </si>
  <si>
    <t>Client C</t>
  </si>
  <si>
    <t>Client E</t>
  </si>
  <si>
    <t>Client F</t>
  </si>
  <si>
    <t>Client D</t>
  </si>
  <si>
    <t>Nbre pièces livrées</t>
  </si>
  <si>
    <t>PMV</t>
  </si>
  <si>
    <t>TOTAL des dépenses liées à son activité</t>
  </si>
  <si>
    <t>Impact sur le prix d'une pièce</t>
  </si>
  <si>
    <t>le plus couteux</t>
  </si>
  <si>
    <t>le moins couteux</t>
  </si>
  <si>
    <r>
      <t xml:space="preserve">Les bases </t>
    </r>
    <r>
      <rPr>
        <b/>
        <sz val="24"/>
        <color theme="1"/>
        <rFont val="Calibri"/>
        <family val="2"/>
        <scheme val="minor"/>
      </rPr>
      <t>ABC</t>
    </r>
  </si>
  <si>
    <t>heures</t>
  </si>
  <si>
    <t>Delta prix rentable / non rentable</t>
  </si>
  <si>
    <t>CA client</t>
  </si>
  <si>
    <t xml:space="preserve">Prix moyen impacté     </t>
  </si>
  <si>
    <t xml:space="preserve">Prix moyen de vente    </t>
  </si>
  <si>
    <t xml:space="preserve">Dépenses ANNUELLES    </t>
  </si>
  <si>
    <t xml:space="preserve">Delta prix d'achat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</si>
</sst>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9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7" fillId="3" borderId="0" xfId="2" applyFont="1" applyFill="1" applyAlignment="1">
      <alignment horizontal="center" vertical="center"/>
    </xf>
    <xf numFmtId="9" fontId="6" fillId="3" borderId="0" xfId="2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0" fontId="0" fillId="0" borderId="0" xfId="2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9" fontId="0" fillId="0" borderId="0" xfId="2" applyNumberFormat="1" applyFont="1" applyAlignment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4">
    <dxf>
      <font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theme="9"/>
        </patternFill>
      </fill>
    </dxf>
    <dxf>
      <font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662940</xdr:colOff>
      <xdr:row>15</xdr:row>
      <xdr:rowOff>175260</xdr:rowOff>
    </xdr:from>
    <xdr:to>
      <xdr:col>7</xdr:col>
      <xdr:colOff>998220</xdr:colOff>
      <xdr:row>17</xdr:row>
      <xdr:rowOff>167640</xdr:rowOff>
    </xdr:to>
    <xdr:sp macro="" textlink="">
      <xdr:nvSpPr>
        <xdr:cNvPr id="2" name="Flèche droite 1"/>
        <xdr:cNvSpPr/>
      </xdr:nvSpPr>
      <xdr:spPr>
        <a:xfrm>
          <a:off x="6751320" y="3810000"/>
          <a:ext cx="335280" cy="586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1051560</xdr:colOff>
      <xdr:row>17</xdr:row>
      <xdr:rowOff>152400</xdr:rowOff>
    </xdr:from>
    <xdr:to>
      <xdr:col>8</xdr:col>
      <xdr:colOff>175260</xdr:colOff>
      <xdr:row>19</xdr:row>
      <xdr:rowOff>144780</xdr:rowOff>
    </xdr:to>
    <xdr:sp macro="" textlink="">
      <xdr:nvSpPr>
        <xdr:cNvPr id="3" name="Flèche droite 2"/>
        <xdr:cNvSpPr/>
      </xdr:nvSpPr>
      <xdr:spPr>
        <a:xfrm>
          <a:off x="7139940" y="4381500"/>
          <a:ext cx="335280" cy="586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662940</xdr:colOff>
      <xdr:row>15</xdr:row>
      <xdr:rowOff>175260</xdr:rowOff>
    </xdr:from>
    <xdr:to>
      <xdr:col>7</xdr:col>
      <xdr:colOff>998220</xdr:colOff>
      <xdr:row>17</xdr:row>
      <xdr:rowOff>167640</xdr:rowOff>
    </xdr:to>
    <xdr:sp macro="" textlink="">
      <xdr:nvSpPr>
        <xdr:cNvPr id="2" name="Flèche droite 1"/>
        <xdr:cNvSpPr/>
      </xdr:nvSpPr>
      <xdr:spPr>
        <a:xfrm>
          <a:off x="6751320" y="3810000"/>
          <a:ext cx="335280" cy="586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1051560</xdr:colOff>
      <xdr:row>17</xdr:row>
      <xdr:rowOff>152400</xdr:rowOff>
    </xdr:from>
    <xdr:to>
      <xdr:col>8</xdr:col>
      <xdr:colOff>175260</xdr:colOff>
      <xdr:row>19</xdr:row>
      <xdr:rowOff>144780</xdr:rowOff>
    </xdr:to>
    <xdr:sp macro="" textlink="">
      <xdr:nvSpPr>
        <xdr:cNvPr id="3" name="Flèche droite 2"/>
        <xdr:cNvSpPr/>
      </xdr:nvSpPr>
      <xdr:spPr>
        <a:xfrm>
          <a:off x="7139940" y="4381500"/>
          <a:ext cx="335280" cy="586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9"/>
  <sheetViews>
    <sheetView showGridLines="0" topLeftCell="B7" workbookViewId="0">
      <selection activeCell="B17" sqref="B17"/>
    </sheetView>
  </sheetViews>
  <sheetFormatPr baseColWidth="10" defaultRowHeight="14.4" x14ac:dyDescent="0.3"/>
  <cols>
    <col min="1" max="1" width="0" style="4" hidden="1" customWidth="1"/>
    <col min="2" max="2" width="24.77734375" style="4" bestFit="1" customWidth="1"/>
    <col min="3" max="6" width="11.5546875" style="4"/>
    <col min="7" max="7" width="17.77734375" style="4" customWidth="1"/>
    <col min="8" max="8" width="17.6640625" style="4" customWidth="1"/>
    <col min="9" max="9" width="17" style="4" customWidth="1"/>
    <col min="10" max="10" width="19.33203125" style="4" customWidth="1"/>
    <col min="11" max="11" width="14" style="4" customWidth="1"/>
    <col min="12" max="12" width="14.44140625" style="4" customWidth="1"/>
    <col min="13" max="13" width="2" style="4" customWidth="1"/>
    <col min="14" max="14" width="17.33203125" style="4" customWidth="1"/>
    <col min="15" max="15" width="11.5546875" style="4"/>
    <col min="16" max="16" width="3.109375" style="4" customWidth="1"/>
    <col min="17" max="17" width="19.44140625" style="4" customWidth="1"/>
    <col min="18" max="19" width="16.6640625" style="4" customWidth="1"/>
    <col min="20" max="20" width="0" style="4" hidden="1" customWidth="1"/>
    <col min="21" max="31" width="11.5546875" style="4" hidden="1" customWidth="1"/>
    <col min="32" max="16384" width="11.5546875" style="4"/>
  </cols>
  <sheetData>
    <row r="2" spans="2:11" ht="31.2" x14ac:dyDescent="0.3">
      <c r="B2" s="25" t="s">
        <v>23</v>
      </c>
      <c r="C2" s="25"/>
      <c r="D2" s="25"/>
      <c r="E2" s="25"/>
    </row>
    <row r="4" spans="2:11" x14ac:dyDescent="0.3">
      <c r="C4" s="2" t="s">
        <v>0</v>
      </c>
      <c r="D4" s="2" t="s">
        <v>1</v>
      </c>
      <c r="E4" s="2" t="s">
        <v>2</v>
      </c>
    </row>
    <row r="5" spans="2:11" x14ac:dyDescent="0.3">
      <c r="B5" s="4" t="s">
        <v>8</v>
      </c>
      <c r="C5" s="29">
        <v>700</v>
      </c>
      <c r="D5" s="29">
        <v>400</v>
      </c>
      <c r="E5" s="29">
        <v>120</v>
      </c>
    </row>
    <row r="6" spans="2:11" x14ac:dyDescent="0.3">
      <c r="B6" s="4" t="s">
        <v>9</v>
      </c>
      <c r="C6" s="29">
        <v>80</v>
      </c>
      <c r="D6" s="29">
        <v>40</v>
      </c>
      <c r="E6" s="29">
        <v>30</v>
      </c>
    </row>
    <row r="8" spans="2:11" x14ac:dyDescent="0.3">
      <c r="B8" s="4" t="s">
        <v>3</v>
      </c>
      <c r="C8" s="29">
        <v>3</v>
      </c>
    </row>
    <row r="9" spans="2:11" x14ac:dyDescent="0.3">
      <c r="G9" s="17" t="s">
        <v>22</v>
      </c>
      <c r="I9" s="18" t="s">
        <v>21</v>
      </c>
    </row>
    <row r="10" spans="2:11" ht="31.8" customHeight="1" x14ac:dyDescent="0.3">
      <c r="B10" s="4" t="s">
        <v>4</v>
      </c>
      <c r="C10" s="29">
        <v>150</v>
      </c>
      <c r="G10" s="19"/>
      <c r="I10" s="20"/>
    </row>
    <row r="11" spans="2:11" ht="23.4" x14ac:dyDescent="0.3">
      <c r="G11" s="21">
        <f>MIN(R24:R29)</f>
        <v>0.43044324324324323</v>
      </c>
      <c r="I11" s="22">
        <f>MAX(R24:R29)</f>
        <v>21.425000000000001</v>
      </c>
    </row>
    <row r="12" spans="2:11" ht="23.4" x14ac:dyDescent="0.3">
      <c r="B12" s="4" t="s">
        <v>5</v>
      </c>
      <c r="C12" s="29">
        <v>250</v>
      </c>
      <c r="G12" s="23" t="str">
        <f>IFERROR(VLOOKUP($G$11,$A$24:$B$29,2,0),"")</f>
        <v>Client B</v>
      </c>
      <c r="I12" s="24" t="str">
        <f>IFERROR(VLOOKUP($I$11,$A$24:$B$29,2,0),"")</f>
        <v>Client D</v>
      </c>
    </row>
    <row r="13" spans="2:11" ht="23.4" x14ac:dyDescent="0.3">
      <c r="F13" s="41" t="s">
        <v>26</v>
      </c>
      <c r="G13" s="37">
        <f>VLOOKUP(G12,$B$24:$C$29,2,0)</f>
        <v>5000000</v>
      </c>
      <c r="I13" s="38">
        <f>VLOOKUP(I12,$B$24:$C$29,2,0)</f>
        <v>50000</v>
      </c>
    </row>
    <row r="14" spans="2:11" ht="23.4" x14ac:dyDescent="0.3">
      <c r="F14" s="40" t="s">
        <v>29</v>
      </c>
      <c r="G14" s="37">
        <f>VLOOKUP(G12,$B$24:$Q$29,16,0)</f>
        <v>19908</v>
      </c>
      <c r="H14" s="42">
        <f>+G14/G13</f>
        <v>3.9816000000000001E-3</v>
      </c>
      <c r="I14" s="38">
        <f>VLOOKUP(I12,$B$24:$Q$29,16,0)</f>
        <v>8570</v>
      </c>
      <c r="J14" s="42">
        <f>+I14/I13</f>
        <v>0.1714</v>
      </c>
    </row>
    <row r="16" spans="2:11" ht="23.4" x14ac:dyDescent="0.3">
      <c r="B16" s="4" t="s">
        <v>6</v>
      </c>
      <c r="C16" s="29">
        <v>200</v>
      </c>
      <c r="F16" s="40" t="s">
        <v>28</v>
      </c>
      <c r="G16" s="21">
        <f>VLOOKUP(G12,$B$24:$O$29,14,0)</f>
        <v>108.10810810810811</v>
      </c>
      <c r="I16" s="22">
        <f>VLOOKUP(I12,$B$24:$O$29,14,0)</f>
        <v>125</v>
      </c>
      <c r="K16" s="14"/>
    </row>
    <row r="17" spans="1:31" ht="23.4" x14ac:dyDescent="0.3">
      <c r="C17" s="36"/>
      <c r="G17" s="27" t="s">
        <v>30</v>
      </c>
      <c r="H17" s="26"/>
      <c r="I17" s="26">
        <f>+(I16-G16)/G16</f>
        <v>0.15624999999999994</v>
      </c>
    </row>
    <row r="18" spans="1:31" ht="23.4" x14ac:dyDescent="0.3">
      <c r="F18" s="40" t="s">
        <v>27</v>
      </c>
      <c r="G18" s="21">
        <f>+G16+G11</f>
        <v>108.53855135135136</v>
      </c>
      <c r="H18" s="39">
        <f>+(G18-G16)/G16</f>
        <v>3.9816000000000287E-3</v>
      </c>
      <c r="I18" s="22">
        <f>+I16+I11</f>
        <v>146.42500000000001</v>
      </c>
      <c r="J18" s="39">
        <f>+(I18-I16)/I16</f>
        <v>0.17140000000000008</v>
      </c>
    </row>
    <row r="19" spans="1:31" ht="23.4" x14ac:dyDescent="0.3">
      <c r="B19" s="4" t="s">
        <v>7</v>
      </c>
      <c r="C19" s="29">
        <v>600</v>
      </c>
      <c r="F19" s="27" t="s">
        <v>25</v>
      </c>
      <c r="G19" s="26"/>
      <c r="H19" s="26"/>
      <c r="I19" s="26">
        <f>+(I18-G18)/G18</f>
        <v>0.3490598333674641</v>
      </c>
      <c r="J19" s="10"/>
    </row>
    <row r="21" spans="1:31" x14ac:dyDescent="0.3">
      <c r="C21" s="3"/>
      <c r="U21" s="5"/>
      <c r="V21" s="5"/>
      <c r="W21" s="5"/>
      <c r="X21" s="5"/>
      <c r="Y21" s="5"/>
      <c r="Z21" s="5"/>
      <c r="AA21" s="5"/>
      <c r="AB21" s="5"/>
      <c r="AC21" s="5"/>
    </row>
    <row r="22" spans="1:31" s="5" customFormat="1" ht="28.8" x14ac:dyDescent="0.3">
      <c r="D22" s="28" t="s">
        <v>0</v>
      </c>
      <c r="E22" s="28" t="s">
        <v>1</v>
      </c>
      <c r="F22" s="28" t="s">
        <v>2</v>
      </c>
      <c r="G22" s="28" t="s">
        <v>3</v>
      </c>
      <c r="H22" s="28" t="s">
        <v>9</v>
      </c>
      <c r="I22" s="28" t="s">
        <v>4</v>
      </c>
      <c r="J22" s="28" t="s">
        <v>5</v>
      </c>
      <c r="K22" s="28" t="s">
        <v>6</v>
      </c>
      <c r="L22" s="28" t="s">
        <v>7</v>
      </c>
      <c r="M22" s="11"/>
      <c r="N22" s="31" t="s">
        <v>17</v>
      </c>
      <c r="O22" s="32" t="s">
        <v>18</v>
      </c>
      <c r="Q22" s="35" t="s">
        <v>19</v>
      </c>
      <c r="R22" s="35" t="s">
        <v>20</v>
      </c>
    </row>
    <row r="23" spans="1:31" s="5" customFormat="1" x14ac:dyDescent="0.3">
      <c r="C23" s="5" t="s">
        <v>11</v>
      </c>
      <c r="D23" s="29">
        <f>+C5</f>
        <v>700</v>
      </c>
      <c r="E23" s="29">
        <f>+D5</f>
        <v>400</v>
      </c>
      <c r="F23" s="29">
        <f>+E5</f>
        <v>120</v>
      </c>
      <c r="G23" s="29">
        <f>+C8</f>
        <v>3</v>
      </c>
      <c r="H23" s="29" t="s">
        <v>24</v>
      </c>
      <c r="I23" s="29">
        <f>+C10</f>
        <v>150</v>
      </c>
      <c r="J23" s="29">
        <f>+C12</f>
        <v>250</v>
      </c>
      <c r="K23" s="29">
        <f>+C16</f>
        <v>200</v>
      </c>
      <c r="L23" s="29">
        <f>+C19</f>
        <v>600</v>
      </c>
      <c r="M23" s="3"/>
      <c r="N23" s="33"/>
      <c r="O23" s="34"/>
      <c r="Q23" s="35"/>
      <c r="R23" s="35"/>
      <c r="S23" s="15"/>
    </row>
    <row r="24" spans="1:31" x14ac:dyDescent="0.3">
      <c r="A24" s="14">
        <f>+R24</f>
        <v>0.47057426597582036</v>
      </c>
      <c r="B24" s="4" t="s">
        <v>10</v>
      </c>
      <c r="C24" s="1">
        <v>5000000</v>
      </c>
      <c r="D24" s="7">
        <v>15</v>
      </c>
      <c r="E24" s="7">
        <v>12</v>
      </c>
      <c r="F24" s="7">
        <v>12</v>
      </c>
      <c r="G24" s="7">
        <f>SUM(D24:F24)</f>
        <v>39</v>
      </c>
      <c r="H24" s="7">
        <f>+D24/2+E24+F24*0.75</f>
        <v>28.5</v>
      </c>
      <c r="I24" s="7">
        <v>6</v>
      </c>
      <c r="J24" s="7">
        <v>4</v>
      </c>
      <c r="K24" s="7">
        <v>2</v>
      </c>
      <c r="L24" s="7">
        <v>1</v>
      </c>
      <c r="M24" s="12"/>
      <c r="N24" s="13">
        <f>+(110*D24*20)+(110*E24*10)+(10*F24)</f>
        <v>46320</v>
      </c>
      <c r="O24" s="30">
        <f>+C24/N24</f>
        <v>107.94473229706391</v>
      </c>
      <c r="P24" s="10"/>
      <c r="Q24" s="9">
        <f>SUM(U24:AC24)</f>
        <v>21797</v>
      </c>
      <c r="R24" s="8">
        <f>+Q24/N24</f>
        <v>0.47057426597582036</v>
      </c>
      <c r="S24" s="16"/>
      <c r="U24" s="5">
        <f>+D$23*D24</f>
        <v>10500</v>
      </c>
      <c r="V24" s="5">
        <f>+E$23*E24</f>
        <v>4800</v>
      </c>
      <c r="W24" s="5">
        <f>+F$23*F24</f>
        <v>1440</v>
      </c>
      <c r="X24" s="5">
        <f>+G$23*G24</f>
        <v>117</v>
      </c>
      <c r="Y24" s="5">
        <f>+I$23*I24</f>
        <v>900</v>
      </c>
      <c r="Z24" s="5">
        <f>+J$23*J24</f>
        <v>1000</v>
      </c>
      <c r="AA24" s="5">
        <f>+K$23*K24</f>
        <v>400</v>
      </c>
      <c r="AB24" s="5">
        <f>+L$23*L24</f>
        <v>600</v>
      </c>
      <c r="AC24" s="6">
        <f>+D24*$C$6+E24*$D$6+F24*$E$6</f>
        <v>2040</v>
      </c>
      <c r="AE24" s="5"/>
    </row>
    <row r="25" spans="1:31" x14ac:dyDescent="0.3">
      <c r="A25" s="14">
        <f t="shared" ref="A25:A29" si="0">+R25</f>
        <v>0.43044324324324323</v>
      </c>
      <c r="B25" s="4" t="s">
        <v>12</v>
      </c>
      <c r="C25" s="1">
        <v>5000000</v>
      </c>
      <c r="D25" s="7">
        <v>21</v>
      </c>
      <c r="E25" s="7">
        <v>0</v>
      </c>
      <c r="F25" s="7">
        <v>5</v>
      </c>
      <c r="G25" s="7">
        <f t="shared" ref="G25:G29" si="1">SUM(D25:F25)</f>
        <v>26</v>
      </c>
      <c r="H25" s="7">
        <f t="shared" ref="H25:H29" si="2">+D25/2+E25+F25*0.75</f>
        <v>14.25</v>
      </c>
      <c r="I25" s="7">
        <v>6</v>
      </c>
      <c r="J25" s="7">
        <v>4</v>
      </c>
      <c r="K25" s="7">
        <v>1</v>
      </c>
      <c r="L25" s="7">
        <v>1</v>
      </c>
      <c r="M25" s="12"/>
      <c r="N25" s="13">
        <f t="shared" ref="N25:N29" si="3">+(110*D25*20)+(110*E25*10)+(10*F25)</f>
        <v>46250</v>
      </c>
      <c r="O25" s="30">
        <f>+C25/N25</f>
        <v>108.10810810810811</v>
      </c>
      <c r="P25" s="10"/>
      <c r="Q25" s="9">
        <f>SUM(U25:AC25)</f>
        <v>19908</v>
      </c>
      <c r="R25" s="8">
        <f t="shared" ref="R25:R29" si="4">+Q25/N25</f>
        <v>0.43044324324324323</v>
      </c>
      <c r="S25" s="16"/>
      <c r="U25" s="5">
        <f>+D$23*D25</f>
        <v>14700</v>
      </c>
      <c r="V25" s="5">
        <f>+E$23*E25</f>
        <v>0</v>
      </c>
      <c r="W25" s="5">
        <f>+F$23*F25</f>
        <v>600</v>
      </c>
      <c r="X25" s="5">
        <f>+G$23*G25</f>
        <v>78</v>
      </c>
      <c r="Y25" s="5">
        <f>+I$23*I25</f>
        <v>900</v>
      </c>
      <c r="Z25" s="5">
        <f>+J$23*J25</f>
        <v>1000</v>
      </c>
      <c r="AA25" s="5">
        <f>+K$23*K25</f>
        <v>200</v>
      </c>
      <c r="AB25" s="5">
        <f>+L$23*L25</f>
        <v>600</v>
      </c>
      <c r="AC25" s="6">
        <f t="shared" ref="AC25:AC29" si="5">+D25*$C$6+E25*$D$6+F25*$E$6</f>
        <v>1830</v>
      </c>
      <c r="AE25" s="5"/>
    </row>
    <row r="26" spans="1:31" x14ac:dyDescent="0.3">
      <c r="A26" s="14">
        <f t="shared" si="0"/>
        <v>18.3</v>
      </c>
      <c r="B26" s="4" t="s">
        <v>13</v>
      </c>
      <c r="C26" s="1">
        <v>50000</v>
      </c>
      <c r="D26" s="7">
        <v>0</v>
      </c>
      <c r="E26" s="7"/>
      <c r="F26" s="7">
        <v>40</v>
      </c>
      <c r="G26" s="7">
        <f t="shared" si="1"/>
        <v>40</v>
      </c>
      <c r="H26" s="7">
        <f t="shared" si="2"/>
        <v>30</v>
      </c>
      <c r="I26" s="7">
        <v>8</v>
      </c>
      <c r="J26" s="7">
        <v>0</v>
      </c>
      <c r="K26" s="7">
        <v>0</v>
      </c>
      <c r="L26" s="7">
        <v>0</v>
      </c>
      <c r="M26" s="12"/>
      <c r="N26" s="13">
        <f t="shared" si="3"/>
        <v>400</v>
      </c>
      <c r="O26" s="30">
        <f>+C26/N26</f>
        <v>125</v>
      </c>
      <c r="P26" s="10"/>
      <c r="Q26" s="9">
        <f>SUM(U26:AC26)</f>
        <v>7320</v>
      </c>
      <c r="R26" s="8">
        <f t="shared" si="4"/>
        <v>18.3</v>
      </c>
      <c r="S26" s="16"/>
      <c r="U26" s="5">
        <f>+D$23*D26</f>
        <v>0</v>
      </c>
      <c r="V26" s="5">
        <f>+E$23*E26</f>
        <v>0</v>
      </c>
      <c r="W26" s="5">
        <f>+F$23*F26</f>
        <v>4800</v>
      </c>
      <c r="X26" s="5">
        <f>+G$23*G26</f>
        <v>120</v>
      </c>
      <c r="Y26" s="5">
        <f>+I$23*I26</f>
        <v>1200</v>
      </c>
      <c r="Z26" s="5">
        <f>+J$23*J26</f>
        <v>0</v>
      </c>
      <c r="AA26" s="5">
        <f>+K$23*K26</f>
        <v>0</v>
      </c>
      <c r="AB26" s="5">
        <f>+L$23*L26</f>
        <v>0</v>
      </c>
      <c r="AC26" s="6">
        <f t="shared" si="5"/>
        <v>1200</v>
      </c>
      <c r="AE26" s="5"/>
    </row>
    <row r="27" spans="1:31" x14ac:dyDescent="0.3">
      <c r="A27" s="14">
        <f t="shared" si="0"/>
        <v>21.425000000000001</v>
      </c>
      <c r="B27" s="4" t="s">
        <v>16</v>
      </c>
      <c r="C27" s="1">
        <v>50000</v>
      </c>
      <c r="D27" s="7">
        <v>0</v>
      </c>
      <c r="E27" s="7">
        <v>0</v>
      </c>
      <c r="F27" s="7">
        <v>40</v>
      </c>
      <c r="G27" s="7">
        <f t="shared" si="1"/>
        <v>40</v>
      </c>
      <c r="H27" s="7">
        <f t="shared" si="2"/>
        <v>30</v>
      </c>
      <c r="I27" s="7">
        <v>10</v>
      </c>
      <c r="J27" s="7">
        <v>3</v>
      </c>
      <c r="K27" s="7">
        <v>1</v>
      </c>
      <c r="L27" s="7">
        <v>0</v>
      </c>
      <c r="M27" s="12"/>
      <c r="N27" s="13">
        <f t="shared" si="3"/>
        <v>400</v>
      </c>
      <c r="O27" s="30">
        <f>+C27/N27</f>
        <v>125</v>
      </c>
      <c r="P27" s="10"/>
      <c r="Q27" s="9">
        <f>SUM(U27:AC27)</f>
        <v>8570</v>
      </c>
      <c r="R27" s="8">
        <f t="shared" si="4"/>
        <v>21.425000000000001</v>
      </c>
      <c r="S27" s="16"/>
      <c r="U27" s="5">
        <f>+D$23*D27</f>
        <v>0</v>
      </c>
      <c r="V27" s="5">
        <f>+E$23*E27</f>
        <v>0</v>
      </c>
      <c r="W27" s="5">
        <f>+F$23*F27</f>
        <v>4800</v>
      </c>
      <c r="X27" s="5">
        <f>+G$23*G27</f>
        <v>120</v>
      </c>
      <c r="Y27" s="5">
        <f>+I$23*I27</f>
        <v>1500</v>
      </c>
      <c r="Z27" s="5">
        <f>+J$23*J27</f>
        <v>750</v>
      </c>
      <c r="AA27" s="5">
        <f>+K$23*K27</f>
        <v>200</v>
      </c>
      <c r="AB27" s="5">
        <f>+L$23*L27</f>
        <v>0</v>
      </c>
      <c r="AC27" s="6">
        <f t="shared" si="5"/>
        <v>1200</v>
      </c>
      <c r="AE27" s="5"/>
    </row>
    <row r="28" spans="1:31" x14ac:dyDescent="0.3">
      <c r="A28" s="14">
        <f t="shared" si="0"/>
        <v>1.3791011235955055</v>
      </c>
      <c r="B28" s="4" t="s">
        <v>14</v>
      </c>
      <c r="C28" s="1">
        <v>500000</v>
      </c>
      <c r="D28" s="7"/>
      <c r="E28" s="7">
        <v>4</v>
      </c>
      <c r="F28" s="7">
        <v>5</v>
      </c>
      <c r="G28" s="7">
        <f t="shared" si="1"/>
        <v>9</v>
      </c>
      <c r="H28" s="7">
        <f t="shared" si="2"/>
        <v>7.75</v>
      </c>
      <c r="I28" s="7">
        <v>12</v>
      </c>
      <c r="J28" s="7">
        <v>4</v>
      </c>
      <c r="K28" s="7">
        <v>1</v>
      </c>
      <c r="L28" s="7">
        <v>1</v>
      </c>
      <c r="M28" s="12"/>
      <c r="N28" s="13">
        <f>+(110*D28*20)+(110*E28*10)+(10*F28)</f>
        <v>4450</v>
      </c>
      <c r="O28" s="30">
        <f>+C28/N28</f>
        <v>112.35955056179775</v>
      </c>
      <c r="P28" s="10"/>
      <c r="Q28" s="9">
        <f>SUM(U28:AC28)</f>
        <v>6137</v>
      </c>
      <c r="R28" s="8">
        <f t="shared" si="4"/>
        <v>1.3791011235955055</v>
      </c>
      <c r="S28" s="16"/>
      <c r="U28" s="5">
        <f>+D$23*D28</f>
        <v>0</v>
      </c>
      <c r="V28" s="5">
        <f>+E$23*E28</f>
        <v>1600</v>
      </c>
      <c r="W28" s="5">
        <f>+F$23*F28</f>
        <v>600</v>
      </c>
      <c r="X28" s="5">
        <f>+G$23*G28</f>
        <v>27</v>
      </c>
      <c r="Y28" s="5">
        <f>+I$23*I28</f>
        <v>1800</v>
      </c>
      <c r="Z28" s="5">
        <f>+J$23*J28</f>
        <v>1000</v>
      </c>
      <c r="AA28" s="5">
        <f>+K$23*K28</f>
        <v>200</v>
      </c>
      <c r="AB28" s="5">
        <f>+L$23*L28</f>
        <v>600</v>
      </c>
      <c r="AC28" s="6">
        <f t="shared" si="5"/>
        <v>310</v>
      </c>
      <c r="AD28" s="4" t="str">
        <f>IFERROR(VLOOKUP(AD23,$A$24:$B$29,2,0),"")</f>
        <v/>
      </c>
      <c r="AE28" s="5"/>
    </row>
    <row r="29" spans="1:31" x14ac:dyDescent="0.3">
      <c r="A29" s="14">
        <f t="shared" si="0"/>
        <v>4.908666666666667</v>
      </c>
      <c r="B29" s="4" t="s">
        <v>15</v>
      </c>
      <c r="C29" s="1">
        <v>500000</v>
      </c>
      <c r="D29" s="7"/>
      <c r="E29" s="7">
        <v>3</v>
      </c>
      <c r="F29" s="7">
        <v>120</v>
      </c>
      <c r="G29" s="7">
        <f t="shared" si="1"/>
        <v>123</v>
      </c>
      <c r="H29" s="7">
        <f t="shared" si="2"/>
        <v>93</v>
      </c>
      <c r="I29" s="7">
        <v>9</v>
      </c>
      <c r="J29" s="7">
        <v>1</v>
      </c>
      <c r="K29" s="7">
        <v>1</v>
      </c>
      <c r="L29" s="7">
        <v>1</v>
      </c>
      <c r="M29" s="12"/>
      <c r="N29" s="13">
        <f>+(110*D29*20)+(110*E29*10)+(10*F29)</f>
        <v>4500</v>
      </c>
      <c r="O29" s="30">
        <f>+C29/N29</f>
        <v>111.11111111111111</v>
      </c>
      <c r="P29" s="10"/>
      <c r="Q29" s="9">
        <f>SUM(U29:AC29)</f>
        <v>22089</v>
      </c>
      <c r="R29" s="8">
        <f t="shared" si="4"/>
        <v>4.908666666666667</v>
      </c>
      <c r="S29" s="16"/>
      <c r="U29" s="5">
        <f>+D$23*D29</f>
        <v>0</v>
      </c>
      <c r="V29" s="5">
        <f>+E$23*E29</f>
        <v>1200</v>
      </c>
      <c r="W29" s="5">
        <f>+F$23*F29</f>
        <v>14400</v>
      </c>
      <c r="X29" s="5">
        <f>+G$23*G29</f>
        <v>369</v>
      </c>
      <c r="Y29" s="5">
        <f>+I$23*I29</f>
        <v>1350</v>
      </c>
      <c r="Z29" s="5">
        <f>+J$23*J29</f>
        <v>250</v>
      </c>
      <c r="AA29" s="5">
        <f>+K$23*K29</f>
        <v>200</v>
      </c>
      <c r="AB29" s="5">
        <f>+L$23*L29</f>
        <v>600</v>
      </c>
      <c r="AC29" s="6">
        <f t="shared" si="5"/>
        <v>3720</v>
      </c>
      <c r="AD29" s="4" t="str">
        <f>IFERROR(VLOOKUP(AD24,$A$24:$B$29,2,0),"")</f>
        <v/>
      </c>
      <c r="AE29" s="5"/>
    </row>
  </sheetData>
  <mergeCells count="7">
    <mergeCell ref="B2:E2"/>
    <mergeCell ref="N22:N23"/>
    <mergeCell ref="O22:O23"/>
    <mergeCell ref="Q22:Q23"/>
    <mergeCell ref="R22:R23"/>
    <mergeCell ref="I9:I10"/>
    <mergeCell ref="G9:G10"/>
  </mergeCells>
  <conditionalFormatting sqref="B24:B29">
    <cfRule type="expression" dxfId="3" priority="2">
      <formula>B24=$G$12</formula>
    </cfRule>
  </conditionalFormatting>
  <conditionalFormatting sqref="B24:B29">
    <cfRule type="expression" dxfId="2" priority="1">
      <formula>B24=$I$12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9"/>
  <sheetViews>
    <sheetView showGridLines="0" tabSelected="1" topLeftCell="B7" workbookViewId="0">
      <selection activeCell="D16" sqref="D16"/>
    </sheetView>
  </sheetViews>
  <sheetFormatPr baseColWidth="10" defaultRowHeight="14.4" x14ac:dyDescent="0.3"/>
  <cols>
    <col min="1" max="1" width="0" style="4" hidden="1" customWidth="1"/>
    <col min="2" max="2" width="24.77734375" style="4" bestFit="1" customWidth="1"/>
    <col min="3" max="6" width="11.5546875" style="4"/>
    <col min="7" max="7" width="17.77734375" style="4" customWidth="1"/>
    <col min="8" max="8" width="17.6640625" style="4" customWidth="1"/>
    <col min="9" max="9" width="17" style="4" customWidth="1"/>
    <col min="10" max="10" width="19.33203125" style="4" customWidth="1"/>
    <col min="11" max="11" width="14" style="4" customWidth="1"/>
    <col min="12" max="12" width="14.44140625" style="4" customWidth="1"/>
    <col min="13" max="13" width="2" style="4" customWidth="1"/>
    <col min="14" max="14" width="17.33203125" style="4" customWidth="1"/>
    <col min="15" max="15" width="11.5546875" style="4"/>
    <col min="16" max="16" width="3.109375" style="4" customWidth="1"/>
    <col min="17" max="17" width="19.44140625" style="4" customWidth="1"/>
    <col min="18" max="19" width="16.6640625" style="4" customWidth="1"/>
    <col min="20" max="20" width="0" style="4" hidden="1" customWidth="1"/>
    <col min="21" max="31" width="11.5546875" style="4" hidden="1" customWidth="1"/>
    <col min="32" max="16384" width="11.5546875" style="4"/>
  </cols>
  <sheetData>
    <row r="2" spans="2:11" ht="31.2" x14ac:dyDescent="0.3">
      <c r="B2" s="25" t="s">
        <v>23</v>
      </c>
      <c r="C2" s="25"/>
      <c r="D2" s="25"/>
      <c r="E2" s="25"/>
    </row>
    <row r="4" spans="2:11" x14ac:dyDescent="0.3">
      <c r="C4" s="2" t="s">
        <v>0</v>
      </c>
      <c r="D4" s="2" t="s">
        <v>1</v>
      </c>
      <c r="E4" s="2" t="s">
        <v>2</v>
      </c>
    </row>
    <row r="5" spans="2:11" x14ac:dyDescent="0.3">
      <c r="B5" s="4" t="s">
        <v>8</v>
      </c>
      <c r="C5" s="29">
        <v>700</v>
      </c>
      <c r="D5" s="29">
        <v>400</v>
      </c>
      <c r="E5" s="29">
        <v>120</v>
      </c>
    </row>
    <row r="6" spans="2:11" x14ac:dyDescent="0.3">
      <c r="B6" s="4" t="s">
        <v>9</v>
      </c>
      <c r="C6" s="29">
        <v>80</v>
      </c>
      <c r="D6" s="29">
        <v>40</v>
      </c>
      <c r="E6" s="29">
        <v>30</v>
      </c>
    </row>
    <row r="8" spans="2:11" x14ac:dyDescent="0.3">
      <c r="B8" s="4" t="s">
        <v>3</v>
      </c>
      <c r="C8" s="29">
        <v>3</v>
      </c>
    </row>
    <row r="9" spans="2:11" x14ac:dyDescent="0.3">
      <c r="G9" s="17" t="s">
        <v>22</v>
      </c>
      <c r="I9" s="18" t="s">
        <v>21</v>
      </c>
    </row>
    <row r="10" spans="2:11" ht="31.8" customHeight="1" x14ac:dyDescent="0.3">
      <c r="B10" s="4" t="s">
        <v>4</v>
      </c>
      <c r="C10" s="29">
        <v>150</v>
      </c>
      <c r="G10" s="19"/>
      <c r="I10" s="20"/>
    </row>
    <row r="11" spans="2:11" ht="23.4" x14ac:dyDescent="0.3">
      <c r="G11" s="21" t="e">
        <f>MIN(R24:R29)</f>
        <v>#DIV/0!</v>
      </c>
      <c r="I11" s="22" t="e">
        <f>MAX(R24:R29)</f>
        <v>#DIV/0!</v>
      </c>
    </row>
    <row r="12" spans="2:11" ht="23.4" x14ac:dyDescent="0.3">
      <c r="B12" s="4" t="s">
        <v>5</v>
      </c>
      <c r="C12" s="29">
        <v>250</v>
      </c>
      <c r="G12" s="23" t="str">
        <f>IFERROR(VLOOKUP($G$11,$A$24:$B$29,2,0),"")</f>
        <v/>
      </c>
      <c r="I12" s="24" t="str">
        <f>IFERROR(VLOOKUP($I$11,$A$24:$B$29,2,0),"")</f>
        <v/>
      </c>
    </row>
    <row r="13" spans="2:11" ht="23.4" x14ac:dyDescent="0.3">
      <c r="F13" s="41" t="s">
        <v>26</v>
      </c>
      <c r="G13" s="37" t="e">
        <f>VLOOKUP(G12,$B$24:$C$29,2,0)</f>
        <v>#N/A</v>
      </c>
      <c r="I13" s="38" t="e">
        <f>VLOOKUP(I12,$B$24:$C$29,2,0)</f>
        <v>#N/A</v>
      </c>
    </row>
    <row r="14" spans="2:11" ht="23.4" x14ac:dyDescent="0.3">
      <c r="F14" s="40" t="s">
        <v>29</v>
      </c>
      <c r="G14" s="37" t="e">
        <f>VLOOKUP(G12,$B$24:$Q$29,16,0)</f>
        <v>#N/A</v>
      </c>
      <c r="H14" s="42" t="e">
        <f>+G14/G13</f>
        <v>#N/A</v>
      </c>
      <c r="I14" s="38" t="e">
        <f>VLOOKUP(I12,$B$24:$Q$29,16,0)</f>
        <v>#N/A</v>
      </c>
      <c r="J14" s="42" t="e">
        <f>+I14/I13</f>
        <v>#N/A</v>
      </c>
    </row>
    <row r="16" spans="2:11" ht="23.4" x14ac:dyDescent="0.3">
      <c r="B16" s="4" t="s">
        <v>6</v>
      </c>
      <c r="C16" s="29">
        <v>200</v>
      </c>
      <c r="F16" s="40" t="s">
        <v>28</v>
      </c>
      <c r="G16" s="21" t="e">
        <f>VLOOKUP(G12,$B$24:$O$29,14,0)</f>
        <v>#N/A</v>
      </c>
      <c r="I16" s="22" t="e">
        <f>VLOOKUP(I12,$B$24:$O$29,14,0)</f>
        <v>#N/A</v>
      </c>
      <c r="K16" s="14"/>
    </row>
    <row r="17" spans="1:31" ht="23.4" x14ac:dyDescent="0.3">
      <c r="C17" s="36"/>
      <c r="G17" s="27" t="s">
        <v>30</v>
      </c>
      <c r="H17" s="26"/>
      <c r="I17" s="26" t="e">
        <f>+(I16-G16)/G16</f>
        <v>#N/A</v>
      </c>
    </row>
    <row r="18" spans="1:31" ht="23.4" x14ac:dyDescent="0.3">
      <c r="F18" s="40" t="s">
        <v>27</v>
      </c>
      <c r="G18" s="21" t="e">
        <f>+G16+G11</f>
        <v>#N/A</v>
      </c>
      <c r="H18" s="39" t="e">
        <f>+(G18-G16)/G16</f>
        <v>#N/A</v>
      </c>
      <c r="I18" s="22" t="e">
        <f>+I16+I11</f>
        <v>#N/A</v>
      </c>
      <c r="J18" s="39" t="e">
        <f>+(I18-I16)/I16</f>
        <v>#N/A</v>
      </c>
    </row>
    <row r="19" spans="1:31" ht="23.4" x14ac:dyDescent="0.3">
      <c r="B19" s="4" t="s">
        <v>7</v>
      </c>
      <c r="C19" s="29">
        <v>600</v>
      </c>
      <c r="F19" s="27" t="s">
        <v>25</v>
      </c>
      <c r="G19" s="26"/>
      <c r="H19" s="26"/>
      <c r="I19" s="26" t="e">
        <f>+(I18-G18)/G18</f>
        <v>#N/A</v>
      </c>
      <c r="J19" s="10"/>
    </row>
    <row r="21" spans="1:31" x14ac:dyDescent="0.3">
      <c r="C21" s="3"/>
      <c r="U21" s="5"/>
      <c r="V21" s="5"/>
      <c r="W21" s="5"/>
      <c r="X21" s="5"/>
      <c r="Y21" s="5"/>
      <c r="Z21" s="5"/>
      <c r="AA21" s="5"/>
      <c r="AB21" s="5"/>
      <c r="AC21" s="5"/>
    </row>
    <row r="22" spans="1:31" s="5" customFormat="1" ht="28.8" x14ac:dyDescent="0.3">
      <c r="D22" s="28" t="s">
        <v>0</v>
      </c>
      <c r="E22" s="28" t="s">
        <v>1</v>
      </c>
      <c r="F22" s="28" t="s">
        <v>2</v>
      </c>
      <c r="G22" s="28" t="s">
        <v>3</v>
      </c>
      <c r="H22" s="28" t="s">
        <v>9</v>
      </c>
      <c r="I22" s="28" t="s">
        <v>4</v>
      </c>
      <c r="J22" s="28" t="s">
        <v>5</v>
      </c>
      <c r="K22" s="28" t="s">
        <v>6</v>
      </c>
      <c r="L22" s="28" t="s">
        <v>7</v>
      </c>
      <c r="M22" s="11"/>
      <c r="N22" s="31" t="s">
        <v>17</v>
      </c>
      <c r="O22" s="32" t="s">
        <v>18</v>
      </c>
      <c r="Q22" s="35" t="s">
        <v>19</v>
      </c>
      <c r="R22" s="35" t="s">
        <v>20</v>
      </c>
    </row>
    <row r="23" spans="1:31" s="5" customFormat="1" x14ac:dyDescent="0.3">
      <c r="C23" s="5" t="s">
        <v>11</v>
      </c>
      <c r="D23" s="29">
        <f>+C5</f>
        <v>700</v>
      </c>
      <c r="E23" s="29">
        <f>+D5</f>
        <v>400</v>
      </c>
      <c r="F23" s="29">
        <f>+E5</f>
        <v>120</v>
      </c>
      <c r="G23" s="29">
        <f>+C8</f>
        <v>3</v>
      </c>
      <c r="H23" s="29" t="s">
        <v>24</v>
      </c>
      <c r="I23" s="29">
        <f>+C10</f>
        <v>150</v>
      </c>
      <c r="J23" s="29">
        <f>+C12</f>
        <v>250</v>
      </c>
      <c r="K23" s="29">
        <f>+C16</f>
        <v>200</v>
      </c>
      <c r="L23" s="29">
        <f>+C19</f>
        <v>600</v>
      </c>
      <c r="M23" s="3"/>
      <c r="N23" s="33"/>
      <c r="O23" s="34"/>
      <c r="Q23" s="35"/>
      <c r="R23" s="35"/>
      <c r="S23" s="15"/>
    </row>
    <row r="24" spans="1:31" x14ac:dyDescent="0.3">
      <c r="A24" s="14" t="e">
        <f>+R24</f>
        <v>#DIV/0!</v>
      </c>
      <c r="B24" s="4" t="s">
        <v>10</v>
      </c>
      <c r="C24" s="1"/>
      <c r="D24" s="7"/>
      <c r="E24" s="7"/>
      <c r="F24" s="7"/>
      <c r="G24" s="7"/>
      <c r="H24" s="7"/>
      <c r="I24" s="7"/>
      <c r="J24" s="7"/>
      <c r="K24" s="7"/>
      <c r="L24" s="7"/>
      <c r="M24" s="12"/>
      <c r="N24" s="13">
        <f>+(110*D24*20)+(110*E24*10)+(10*F24)</f>
        <v>0</v>
      </c>
      <c r="O24" s="30" t="e">
        <f>+C24/N24</f>
        <v>#DIV/0!</v>
      </c>
      <c r="P24" s="10"/>
      <c r="Q24" s="9">
        <f>SUM(U24:AC24)</f>
        <v>0</v>
      </c>
      <c r="R24" s="8" t="e">
        <f>+Q24/N24</f>
        <v>#DIV/0!</v>
      </c>
      <c r="S24" s="16"/>
      <c r="U24" s="5">
        <f>+D$23*D24</f>
        <v>0</v>
      </c>
      <c r="V24" s="5">
        <f>+E$23*E24</f>
        <v>0</v>
      </c>
      <c r="W24" s="5">
        <f>+F$23*F24</f>
        <v>0</v>
      </c>
      <c r="X24" s="5">
        <f>+G$23*G24</f>
        <v>0</v>
      </c>
      <c r="Y24" s="5">
        <f>+I$23*I24</f>
        <v>0</v>
      </c>
      <c r="Z24" s="5">
        <f>+J$23*J24</f>
        <v>0</v>
      </c>
      <c r="AA24" s="5">
        <f>+K$23*K24</f>
        <v>0</v>
      </c>
      <c r="AB24" s="5">
        <f>+L$23*L24</f>
        <v>0</v>
      </c>
      <c r="AC24" s="6">
        <f>+D24*$C$6+E24*$D$6+F24*$E$6</f>
        <v>0</v>
      </c>
      <c r="AE24" s="5"/>
    </row>
    <row r="25" spans="1:31" x14ac:dyDescent="0.3">
      <c r="A25" s="14" t="e">
        <f t="shared" ref="A25:A29" si="0">+R25</f>
        <v>#DIV/0!</v>
      </c>
      <c r="B25" s="4" t="s">
        <v>12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12"/>
      <c r="N25" s="13">
        <f t="shared" ref="N25:N29" si="1">+(110*D25*20)+(110*E25*10)+(10*F25)</f>
        <v>0</v>
      </c>
      <c r="O25" s="30" t="e">
        <f>+C25/N25</f>
        <v>#DIV/0!</v>
      </c>
      <c r="P25" s="10"/>
      <c r="Q25" s="9">
        <f>SUM(U25:AC25)</f>
        <v>0</v>
      </c>
      <c r="R25" s="8" t="e">
        <f t="shared" ref="R25:R29" si="2">+Q25/N25</f>
        <v>#DIV/0!</v>
      </c>
      <c r="S25" s="16"/>
      <c r="U25" s="5">
        <f>+D$23*D25</f>
        <v>0</v>
      </c>
      <c r="V25" s="5">
        <f>+E$23*E25</f>
        <v>0</v>
      </c>
      <c r="W25" s="5">
        <f>+F$23*F25</f>
        <v>0</v>
      </c>
      <c r="X25" s="5">
        <f>+G$23*G25</f>
        <v>0</v>
      </c>
      <c r="Y25" s="5">
        <f>+I$23*I25</f>
        <v>0</v>
      </c>
      <c r="Z25" s="5">
        <f>+J$23*J25</f>
        <v>0</v>
      </c>
      <c r="AA25" s="5">
        <f>+K$23*K25</f>
        <v>0</v>
      </c>
      <c r="AB25" s="5">
        <f>+L$23*L25</f>
        <v>0</v>
      </c>
      <c r="AC25" s="6">
        <f t="shared" ref="AC25:AC29" si="3">+D25*$C$6+E25*$D$6+F25*$E$6</f>
        <v>0</v>
      </c>
      <c r="AE25" s="5"/>
    </row>
    <row r="26" spans="1:31" x14ac:dyDescent="0.3">
      <c r="A26" s="14" t="e">
        <f t="shared" si="0"/>
        <v>#DIV/0!</v>
      </c>
      <c r="B26" s="4" t="s">
        <v>13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12"/>
      <c r="N26" s="13">
        <f t="shared" si="1"/>
        <v>0</v>
      </c>
      <c r="O26" s="30" t="e">
        <f>+C26/N26</f>
        <v>#DIV/0!</v>
      </c>
      <c r="P26" s="10"/>
      <c r="Q26" s="9">
        <f>SUM(U26:AC26)</f>
        <v>0</v>
      </c>
      <c r="R26" s="8" t="e">
        <f t="shared" si="2"/>
        <v>#DIV/0!</v>
      </c>
      <c r="S26" s="16"/>
      <c r="U26" s="5">
        <f>+D$23*D26</f>
        <v>0</v>
      </c>
      <c r="V26" s="5">
        <f>+E$23*E26</f>
        <v>0</v>
      </c>
      <c r="W26" s="5">
        <f>+F$23*F26</f>
        <v>0</v>
      </c>
      <c r="X26" s="5">
        <f>+G$23*G26</f>
        <v>0</v>
      </c>
      <c r="Y26" s="5">
        <f>+I$23*I26</f>
        <v>0</v>
      </c>
      <c r="Z26" s="5">
        <f>+J$23*J26</f>
        <v>0</v>
      </c>
      <c r="AA26" s="5">
        <f>+K$23*K26</f>
        <v>0</v>
      </c>
      <c r="AB26" s="5">
        <f>+L$23*L26</f>
        <v>0</v>
      </c>
      <c r="AC26" s="6">
        <f t="shared" si="3"/>
        <v>0</v>
      </c>
      <c r="AE26" s="5"/>
    </row>
    <row r="27" spans="1:31" x14ac:dyDescent="0.3">
      <c r="A27" s="14" t="e">
        <f t="shared" si="0"/>
        <v>#DIV/0!</v>
      </c>
      <c r="B27" s="4" t="s">
        <v>16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12"/>
      <c r="N27" s="13">
        <f t="shared" si="1"/>
        <v>0</v>
      </c>
      <c r="O27" s="30" t="e">
        <f>+C27/N27</f>
        <v>#DIV/0!</v>
      </c>
      <c r="P27" s="10"/>
      <c r="Q27" s="9">
        <f>SUM(U27:AC27)</f>
        <v>0</v>
      </c>
      <c r="R27" s="8" t="e">
        <f t="shared" si="2"/>
        <v>#DIV/0!</v>
      </c>
      <c r="S27" s="16"/>
      <c r="U27" s="5">
        <f>+D$23*D27</f>
        <v>0</v>
      </c>
      <c r="V27" s="5">
        <f>+E$23*E27</f>
        <v>0</v>
      </c>
      <c r="W27" s="5">
        <f>+F$23*F27</f>
        <v>0</v>
      </c>
      <c r="X27" s="5">
        <f>+G$23*G27</f>
        <v>0</v>
      </c>
      <c r="Y27" s="5">
        <f>+I$23*I27</f>
        <v>0</v>
      </c>
      <c r="Z27" s="5">
        <f>+J$23*J27</f>
        <v>0</v>
      </c>
      <c r="AA27" s="5">
        <f>+K$23*K27</f>
        <v>0</v>
      </c>
      <c r="AB27" s="5">
        <f>+L$23*L27</f>
        <v>0</v>
      </c>
      <c r="AC27" s="6">
        <f t="shared" si="3"/>
        <v>0</v>
      </c>
      <c r="AE27" s="5"/>
    </row>
    <row r="28" spans="1:31" x14ac:dyDescent="0.3">
      <c r="A28" s="14" t="e">
        <f t="shared" si="0"/>
        <v>#DIV/0!</v>
      </c>
      <c r="B28" s="4" t="s">
        <v>14</v>
      </c>
      <c r="C28" s="1"/>
      <c r="D28" s="7"/>
      <c r="E28" s="7"/>
      <c r="F28" s="7"/>
      <c r="G28" s="7"/>
      <c r="H28" s="7"/>
      <c r="I28" s="7"/>
      <c r="J28" s="7"/>
      <c r="K28" s="7"/>
      <c r="L28" s="7"/>
      <c r="M28" s="12"/>
      <c r="N28" s="13">
        <f>+(110*D28*20)+(110*E28*10)+(10*F28)</f>
        <v>0</v>
      </c>
      <c r="O28" s="30" t="e">
        <f>+C28/N28</f>
        <v>#DIV/0!</v>
      </c>
      <c r="P28" s="10"/>
      <c r="Q28" s="9">
        <f>SUM(U28:AC28)</f>
        <v>0</v>
      </c>
      <c r="R28" s="8" t="e">
        <f t="shared" si="2"/>
        <v>#DIV/0!</v>
      </c>
      <c r="S28" s="16"/>
      <c r="U28" s="5">
        <f>+D$23*D28</f>
        <v>0</v>
      </c>
      <c r="V28" s="5">
        <f>+E$23*E28</f>
        <v>0</v>
      </c>
      <c r="W28" s="5">
        <f>+F$23*F28</f>
        <v>0</v>
      </c>
      <c r="X28" s="5">
        <f>+G$23*G28</f>
        <v>0</v>
      </c>
      <c r="Y28" s="5">
        <f>+I$23*I28</f>
        <v>0</v>
      </c>
      <c r="Z28" s="5">
        <f>+J$23*J28</f>
        <v>0</v>
      </c>
      <c r="AA28" s="5">
        <f>+K$23*K28</f>
        <v>0</v>
      </c>
      <c r="AB28" s="5">
        <f>+L$23*L28</f>
        <v>0</v>
      </c>
      <c r="AC28" s="6">
        <f t="shared" si="3"/>
        <v>0</v>
      </c>
      <c r="AD28" s="4" t="str">
        <f>IFERROR(VLOOKUP(AD23,$A$24:$B$29,2,0),"")</f>
        <v/>
      </c>
      <c r="AE28" s="5"/>
    </row>
    <row r="29" spans="1:31" x14ac:dyDescent="0.3">
      <c r="A29" s="14" t="e">
        <f t="shared" si="0"/>
        <v>#DIV/0!</v>
      </c>
      <c r="B29" s="4" t="s">
        <v>15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12"/>
      <c r="N29" s="13">
        <f>+(110*D29*20)+(110*E29*10)+(10*F29)</f>
        <v>0</v>
      </c>
      <c r="O29" s="30" t="e">
        <f>+C29/N29</f>
        <v>#DIV/0!</v>
      </c>
      <c r="P29" s="10"/>
      <c r="Q29" s="9">
        <f>SUM(U29:AC29)</f>
        <v>0</v>
      </c>
      <c r="R29" s="8" t="e">
        <f t="shared" si="2"/>
        <v>#DIV/0!</v>
      </c>
      <c r="S29" s="16"/>
      <c r="U29" s="5">
        <f>+D$23*D29</f>
        <v>0</v>
      </c>
      <c r="V29" s="5">
        <f>+E$23*E29</f>
        <v>0</v>
      </c>
      <c r="W29" s="5">
        <f>+F$23*F29</f>
        <v>0</v>
      </c>
      <c r="X29" s="5">
        <f>+G$23*G29</f>
        <v>0</v>
      </c>
      <c r="Y29" s="5">
        <f>+I$23*I29</f>
        <v>0</v>
      </c>
      <c r="Z29" s="5">
        <f>+J$23*J29</f>
        <v>0</v>
      </c>
      <c r="AA29" s="5">
        <f>+K$23*K29</f>
        <v>0</v>
      </c>
      <c r="AB29" s="5">
        <f>+L$23*L29</f>
        <v>0</v>
      </c>
      <c r="AC29" s="6">
        <f t="shared" si="3"/>
        <v>0</v>
      </c>
      <c r="AD29" s="4" t="str">
        <f>IFERROR(VLOOKUP(AD24,$A$24:$B$29,2,0),"")</f>
        <v/>
      </c>
      <c r="AE29" s="5"/>
    </row>
  </sheetData>
  <mergeCells count="7">
    <mergeCell ref="R22:R23"/>
    <mergeCell ref="B2:E2"/>
    <mergeCell ref="G9:G10"/>
    <mergeCell ref="I9:I10"/>
    <mergeCell ref="N22:N23"/>
    <mergeCell ref="O22:O23"/>
    <mergeCell ref="Q22:Q23"/>
  </mergeCells>
  <conditionalFormatting sqref="B24:B29">
    <cfRule type="expression" dxfId="1" priority="2">
      <formula>B24=$G$12</formula>
    </cfRule>
  </conditionalFormatting>
  <conditionalFormatting sqref="B24:B29">
    <cfRule type="expression" dxfId="0" priority="1">
      <formula>B24=$I$12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rempli</vt:lpstr>
      <vt:lpstr>vide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Augry</dc:creator>
  <cp:lastModifiedBy>Franck Augry</cp:lastModifiedBy>
  <cp:lastPrinted>2020-09-08T16:09:31Z</cp:lastPrinted>
  <dcterms:created xsi:type="dcterms:W3CDTF">2020-09-07T17:53:46Z</dcterms:created>
  <dcterms:modified xsi:type="dcterms:W3CDTF">2020-09-08T16:30:33Z</dcterms:modified>
</cp:coreProperties>
</file>